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E:\Trein\Algemene informatie &amp; Techniek\Algemene Techniek\"/>
    </mc:Choice>
  </mc:AlternateContent>
  <xr:revisionPtr revIDLastSave="0" documentId="13_ncr:1_{B56310B2-A58D-408D-8026-15E74FDDB65F}" xr6:coauthVersionLast="47" xr6:coauthVersionMax="47" xr10:uidLastSave="{00000000-0000-0000-0000-000000000000}"/>
  <bookViews>
    <workbookView xWindow="-120" yWindow="-120" windowWidth="29040" windowHeight="15840" xr2:uid="{C747585C-F21C-4578-83F7-CCDDE43F9285}"/>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 r="K4" i="1" s="1"/>
  <c r="K7" i="1"/>
  <c r="K6" i="1"/>
  <c r="K5" i="1" l="1"/>
  <c r="K9" i="1"/>
  <c r="L31" i="1" l="1"/>
  <c r="F31" i="1"/>
  <c r="J30" i="1"/>
  <c r="D30" i="1"/>
  <c r="H29" i="1"/>
  <c r="L28" i="1"/>
  <c r="F28" i="1"/>
  <c r="J27" i="1"/>
  <c r="D27" i="1"/>
  <c r="H26" i="1"/>
  <c r="L25" i="1"/>
  <c r="F25" i="1"/>
  <c r="J24" i="1"/>
  <c r="D24" i="1"/>
  <c r="L24" i="1"/>
  <c r="G31" i="1"/>
  <c r="E30" i="1"/>
  <c r="I29" i="1"/>
  <c r="G28" i="1"/>
  <c r="I26" i="1"/>
  <c r="G25" i="1"/>
  <c r="K24" i="1"/>
  <c r="K31" i="1"/>
  <c r="E31" i="1"/>
  <c r="I30" i="1"/>
  <c r="C30" i="1"/>
  <c r="G29" i="1"/>
  <c r="K28" i="1"/>
  <c r="E28" i="1"/>
  <c r="I27" i="1"/>
  <c r="C27" i="1"/>
  <c r="G26" i="1"/>
  <c r="K25" i="1"/>
  <c r="E25" i="1"/>
  <c r="I24" i="1"/>
  <c r="C24" i="1"/>
  <c r="D31" i="1"/>
  <c r="H30" i="1"/>
  <c r="L29" i="1"/>
  <c r="F29" i="1"/>
  <c r="J28" i="1"/>
  <c r="D28" i="1"/>
  <c r="H27" i="1"/>
  <c r="L26" i="1"/>
  <c r="F26" i="1"/>
  <c r="J25" i="1"/>
  <c r="D25" i="1"/>
  <c r="H24" i="1"/>
  <c r="I31" i="1"/>
  <c r="C31" i="1"/>
  <c r="G30" i="1"/>
  <c r="K29" i="1"/>
  <c r="E29" i="1"/>
  <c r="I28" i="1"/>
  <c r="C28" i="1"/>
  <c r="G27" i="1"/>
  <c r="K26" i="1"/>
  <c r="E26" i="1"/>
  <c r="I25" i="1"/>
  <c r="C25" i="1"/>
  <c r="G24" i="1"/>
  <c r="H31" i="1"/>
  <c r="L30" i="1"/>
  <c r="F30" i="1"/>
  <c r="J29" i="1"/>
  <c r="D29" i="1"/>
  <c r="H28" i="1"/>
  <c r="L27" i="1"/>
  <c r="F27" i="1"/>
  <c r="J26" i="1"/>
  <c r="D26" i="1"/>
  <c r="H25" i="1"/>
  <c r="F24" i="1"/>
  <c r="K30" i="1"/>
  <c r="C29" i="1"/>
  <c r="K27" i="1"/>
  <c r="E27" i="1"/>
  <c r="C26" i="1"/>
  <c r="E24" i="1"/>
  <c r="J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 Marijs</author>
    <author>Jörg Kießling</author>
  </authors>
  <commentList>
    <comment ref="K2" authorId="0" shapeId="0" xr:uid="{CB988218-F573-49C8-B1C2-CA0E3EB1679A}">
      <text>
        <r>
          <rPr>
            <b/>
            <sz val="9"/>
            <color indexed="81"/>
            <rFont val="Tahoma"/>
            <family val="2"/>
          </rPr>
          <t>R Marijs:</t>
        </r>
        <r>
          <rPr>
            <sz val="9"/>
            <color indexed="81"/>
            <rFont val="Tahoma"/>
            <family val="2"/>
          </rPr>
          <t xml:space="preserve">
Hulp voor de berekening:
Voer de gegevens van uw spiraalvormige baan, in de gele velden in, neem het exacte aantal vereiste niveaus uit de groene cel (k4), rond deze eventueel naar boven af ​​en vul de waarde in cel (E8) in. =&gt; de groene cellen tonen u de waarden</t>
        </r>
      </text>
    </comment>
    <comment ref="B4" authorId="1" shapeId="0" xr:uid="{0AD85734-9E1B-4FB6-AF7F-413538520072}">
      <text>
        <r>
          <rPr>
            <b/>
            <u/>
            <sz val="9"/>
            <color indexed="81"/>
            <rFont val="Tahoma"/>
            <family val="2"/>
          </rPr>
          <t xml:space="preserve">h = Gesamelijke hoogte:
</t>
        </r>
        <r>
          <rPr>
            <sz val="8"/>
            <color indexed="81"/>
            <rFont val="Tahoma"/>
            <family val="2"/>
          </rPr>
          <t xml:space="preserve">
Voer hier het hoogteverschil van het begin tot het eindpunt van de spiraalvormige baan in.</t>
        </r>
      </text>
    </comment>
    <comment ref="B5" authorId="1" shapeId="0" xr:uid="{919181D1-DEF5-406F-899C-E0AC4CE4DE86}">
      <text>
        <r>
          <rPr>
            <b/>
            <u/>
            <sz val="9"/>
            <color indexed="81"/>
            <rFont val="Tahoma"/>
            <family val="2"/>
          </rPr>
          <t>r = Spoor radius:</t>
        </r>
        <r>
          <rPr>
            <sz val="8"/>
            <color indexed="81"/>
            <rFont val="Tahoma"/>
            <family val="2"/>
          </rPr>
          <t xml:space="preserve">
Vul a.u.b. de straal in tot aan het midden van de baan, de binnenbaan.</t>
        </r>
      </text>
    </comment>
    <comment ref="B6" authorId="1" shapeId="0" xr:uid="{AB879904-CC9B-4390-B79F-3881853A22EA}">
      <text>
        <r>
          <rPr>
            <b/>
            <u/>
            <sz val="9"/>
            <color indexed="81"/>
            <rFont val="Tahoma"/>
            <family val="2"/>
          </rPr>
          <t>L</t>
        </r>
        <r>
          <rPr>
            <b/>
            <u/>
            <vertAlign val="subscript"/>
            <sz val="10"/>
            <color indexed="81"/>
            <rFont val="Tahoma"/>
            <family val="2"/>
          </rPr>
          <t>Alleen maar</t>
        </r>
        <r>
          <rPr>
            <b/>
            <u/>
            <sz val="9"/>
            <color indexed="81"/>
            <rFont val="Tahoma"/>
            <family val="2"/>
          </rPr>
          <t xml:space="preserve"> = Alleen maar:</t>
        </r>
        <r>
          <rPr>
            <sz val="8"/>
            <color indexed="81"/>
            <rFont val="Tahoma"/>
            <family val="2"/>
          </rPr>
          <t xml:space="preserve">
Voer hier de eenvoudige lengte van de rechte lijn in (alleen nodig voor ovale vormen). Met cirkelvormwaarde = 0!</t>
        </r>
        <r>
          <rPr>
            <b/>
            <sz val="8"/>
            <color indexed="81"/>
            <rFont val="Tahoma"/>
            <family val="2"/>
          </rPr>
          <t xml:space="preserve"> </t>
        </r>
      </text>
    </comment>
    <comment ref="B7" authorId="1" shapeId="0" xr:uid="{5916AEC2-2DAA-40F4-8405-A3AA950EF486}">
      <text>
        <r>
          <rPr>
            <b/>
            <u/>
            <sz val="9"/>
            <color indexed="81"/>
            <rFont val="Tahoma"/>
            <family val="2"/>
          </rPr>
          <t>s</t>
        </r>
        <r>
          <rPr>
            <b/>
            <u/>
            <vertAlign val="subscript"/>
            <sz val="10"/>
            <color indexed="81"/>
            <rFont val="Tahoma"/>
            <family val="2"/>
          </rPr>
          <t>max</t>
        </r>
        <r>
          <rPr>
            <b/>
            <u/>
            <sz val="9"/>
            <color indexed="81"/>
            <rFont val="Tahoma"/>
            <family val="2"/>
          </rPr>
          <t xml:space="preserve"> = Steiging:</t>
        </r>
        <r>
          <rPr>
            <sz val="8"/>
            <color indexed="81"/>
            <rFont val="Tahoma"/>
            <family val="2"/>
          </rPr>
          <t xml:space="preserve">
Vul a.u.b. de </t>
        </r>
        <r>
          <rPr>
            <b/>
            <sz val="8"/>
            <color indexed="81"/>
            <rFont val="Tahoma"/>
            <family val="2"/>
          </rPr>
          <t>maximale</t>
        </r>
        <r>
          <rPr>
            <sz val="8"/>
            <color indexed="81"/>
            <rFont val="Tahoma"/>
            <family val="2"/>
          </rPr>
          <t xml:space="preserve"> helling in die het trajectdeel in de spiraal niet mag overschrijden.</t>
        </r>
      </text>
    </comment>
    <comment ref="B8" authorId="1" shapeId="0" xr:uid="{E111B610-F5AF-44E8-92BD-1E889433BA4E}">
      <text>
        <r>
          <rPr>
            <b/>
            <u/>
            <sz val="9"/>
            <color indexed="81"/>
            <rFont val="Tahoma"/>
            <family val="2"/>
          </rPr>
          <t>Niveau:</t>
        </r>
        <r>
          <rPr>
            <sz val="8"/>
            <color indexed="81"/>
            <rFont val="Tahoma"/>
            <family val="2"/>
          </rPr>
          <t xml:space="preserve">
Voer hier het aantal niveaus in dat de helix moet hebben. Kies indien mogelijk een grotere waarde dan in cel K4 !!!
</t>
        </r>
        <r>
          <rPr>
            <b/>
            <sz val="8"/>
            <color indexed="81"/>
            <rFont val="Tahoma"/>
            <family val="2"/>
          </rPr>
          <t>Voorbeeld</t>
        </r>
        <r>
          <rPr>
            <sz val="8"/>
            <color indexed="81"/>
            <rFont val="Tahoma"/>
            <family val="2"/>
          </rPr>
          <t>: [K4] = 2,9, dan
met X 1/4 vlakken: =&gt; 3.25</t>
        </r>
      </text>
    </comment>
    <comment ref="B9" authorId="1" shapeId="0" xr:uid="{CBE8D4D6-BFB4-4F75-9306-51CA1D69D263}">
      <text>
        <r>
          <rPr>
            <b/>
            <u/>
            <sz val="9"/>
            <color indexed="81"/>
            <rFont val="Tahoma"/>
            <family val="2"/>
          </rPr>
          <t>Fixeerpunten:</t>
        </r>
        <r>
          <rPr>
            <sz val="8"/>
            <color indexed="81"/>
            <rFont val="Tahoma"/>
            <family val="2"/>
          </rPr>
          <t xml:space="preserve">
Vul a.u.b. het aantal bevestigingspunten in (in hele getallen) waarmee u de hoogte van de lijnen kunt aanpassen.</t>
        </r>
      </text>
    </comment>
    <comment ref="K12" authorId="1" shapeId="0" xr:uid="{2E457DA5-AC5C-4C49-85C1-CE09E46C84D8}">
      <text>
        <r>
          <rPr>
            <b/>
            <sz val="8"/>
            <color indexed="81"/>
            <rFont val="Arial"/>
            <family val="2"/>
          </rPr>
          <t>Toepassingsvoorbeeld:
Lengte L = 200 cm
Hoogteverschil Dh = 5 cm
=&gt; 5 / (200/100)
Helling s = 2,5%</t>
        </r>
      </text>
    </comment>
    <comment ref="K21" authorId="0" shapeId="0" xr:uid="{EE2901CC-0D3B-4A96-B0C4-F34B7636C9FF}">
      <text>
        <r>
          <rPr>
            <b/>
            <sz val="9"/>
            <color indexed="81"/>
            <rFont val="Tahoma"/>
            <family val="2"/>
          </rPr>
          <t>R Marijs:</t>
        </r>
        <r>
          <rPr>
            <sz val="9"/>
            <color indexed="81"/>
            <rFont val="Tahoma"/>
            <family val="2"/>
          </rPr>
          <t xml:space="preserve">
Hulp bij de Evaluatie:
Voer voor evaluatie het aantal vaste punten op uw spiraalvormige baan in de gele cel in (K9). Als alle invoer is voltooid, kunt u de individuele hoogtepunten aflezen in de fixeerpunt tabel. Het startpunt is (A / niveau 1) met 0,0 cm)</t>
        </r>
      </text>
    </comment>
  </commentList>
</comments>
</file>

<file path=xl/sharedStrings.xml><?xml version="1.0" encoding="utf-8"?>
<sst xmlns="http://schemas.openxmlformats.org/spreadsheetml/2006/main" count="60" uniqueCount="47">
  <si>
    <t xml:space="preserve"> Rekentabel voor spoorhelix</t>
  </si>
  <si>
    <t>HELP</t>
  </si>
  <si>
    <t>Uw invoer:</t>
  </si>
  <si>
    <t>Resultaten:</t>
  </si>
  <si>
    <t>h (helix - totale hoogte)</t>
  </si>
  <si>
    <t>cm</t>
  </si>
  <si>
    <r>
      <t>Nivea (</t>
    </r>
    <r>
      <rPr>
        <sz val="10"/>
        <color indexed="16"/>
        <rFont val="Arial"/>
        <family val="2"/>
      </rPr>
      <t>Voorstel</t>
    </r>
    <r>
      <rPr>
        <sz val="11"/>
        <color theme="1"/>
        <rFont val="Calibri"/>
        <family val="2"/>
        <scheme val="minor"/>
      </rPr>
      <t>)</t>
    </r>
  </si>
  <si>
    <t>=</t>
  </si>
  <si>
    <t>Stück</t>
  </si>
  <si>
    <r>
      <t xml:space="preserve">r </t>
    </r>
    <r>
      <rPr>
        <sz val="10"/>
        <color indexed="8"/>
        <rFont val="Arial"/>
        <family val="2"/>
      </rPr>
      <t>(Binnen radius)</t>
    </r>
  </si>
  <si>
    <r>
      <t>s</t>
    </r>
    <r>
      <rPr>
        <sz val="11"/>
        <color theme="1"/>
        <rFont val="Calibri"/>
        <family val="2"/>
        <scheme val="minor"/>
      </rPr>
      <t xml:space="preserve"> (vastgelegde Steiging)</t>
    </r>
  </si>
  <si>
    <t>%</t>
  </si>
  <si>
    <r>
      <t>L</t>
    </r>
    <r>
      <rPr>
        <vertAlign val="subscript"/>
        <sz val="10"/>
        <color indexed="8"/>
        <rFont val="Arial"/>
        <family val="2"/>
      </rPr>
      <t>recht</t>
    </r>
    <r>
      <rPr>
        <sz val="10"/>
        <color indexed="8"/>
        <rFont val="Arial"/>
        <family val="2"/>
      </rPr>
      <t xml:space="preserve"> Recht (alleen bij ovaal)</t>
    </r>
  </si>
  <si>
    <t>Spoorlengte (binnen Radius)</t>
  </si>
  <si>
    <t>m</t>
  </si>
  <si>
    <r>
      <t>s</t>
    </r>
    <r>
      <rPr>
        <vertAlign val="subscript"/>
        <sz val="10"/>
        <color indexed="8"/>
        <rFont val="Arial"/>
        <family val="2"/>
      </rPr>
      <t>max</t>
    </r>
    <r>
      <rPr>
        <sz val="11"/>
        <color indexed="8"/>
        <rFont val="Arial"/>
        <family val="2"/>
      </rPr>
      <t xml:space="preserve"> </t>
    </r>
    <r>
      <rPr>
        <sz val="10"/>
        <color indexed="8"/>
        <rFont val="Arial"/>
        <family val="2"/>
      </rPr>
      <t>(maximale Steiging)</t>
    </r>
  </si>
  <si>
    <r>
      <t>D</t>
    </r>
    <r>
      <rPr>
        <sz val="11"/>
        <rFont val="Arial"/>
        <family val="2"/>
      </rPr>
      <t>h</t>
    </r>
    <r>
      <rPr>
        <sz val="11"/>
        <color theme="1"/>
        <rFont val="Calibri"/>
        <family val="2"/>
        <scheme val="minor"/>
      </rPr>
      <t xml:space="preserve"> (Hoogte verschil. niveaus)</t>
    </r>
  </si>
  <si>
    <r>
      <t>Niveaus (</t>
    </r>
    <r>
      <rPr>
        <sz val="10"/>
        <color indexed="16"/>
        <rFont val="Arial"/>
        <family val="2"/>
      </rPr>
      <t>Vastgelegd</t>
    </r>
    <r>
      <rPr>
        <sz val="10"/>
        <color indexed="8"/>
        <rFont val="Arial"/>
        <family val="2"/>
      </rPr>
      <t>)</t>
    </r>
  </si>
  <si>
    <t>Stuks</t>
  </si>
  <si>
    <t>Omtrek (binnen Radius)</t>
  </si>
  <si>
    <t>Aantal Fixeerpunte</t>
  </si>
  <si>
    <t>Hoogte Onderscheid (Fix-P.)</t>
  </si>
  <si>
    <t xml:space="preserve">   Opmerkingen: algemene info over spiraalplanning</t>
  </si>
  <si>
    <r>
      <t xml:space="preserve">   </t>
    </r>
    <r>
      <rPr>
        <b/>
        <sz val="10"/>
        <color indexed="8"/>
        <rFont val="Arial"/>
        <family val="2"/>
      </rPr>
      <t xml:space="preserve">Steiging:
</t>
    </r>
    <r>
      <rPr>
        <sz val="10"/>
        <color indexed="8"/>
        <rFont val="Arial"/>
        <family val="2"/>
      </rPr>
      <t xml:space="preserve">   Die moeten in de Modellbouw niet
   groter zijn dan </t>
    </r>
    <r>
      <rPr>
        <b/>
        <sz val="10"/>
        <color indexed="8"/>
        <rFont val="Arial"/>
        <family val="2"/>
      </rPr>
      <t>2,50%</t>
    </r>
    <r>
      <rPr>
        <sz val="10"/>
        <color indexed="8"/>
        <rFont val="Arial"/>
        <family val="2"/>
      </rPr>
      <t xml:space="preserve"> bis </t>
    </r>
    <r>
      <rPr>
        <b/>
        <sz val="10"/>
        <color indexed="8"/>
        <rFont val="Arial"/>
        <family val="2"/>
      </rPr>
      <t>3,00%</t>
    </r>
    <r>
      <rPr>
        <sz val="10"/>
        <color indexed="8"/>
        <rFont val="Arial"/>
        <family val="2"/>
      </rPr>
      <t xml:space="preserve"> .
   Bij de Baan:  </t>
    </r>
    <r>
      <rPr>
        <b/>
        <sz val="10"/>
        <color indexed="8"/>
        <rFont val="Arial"/>
        <family val="2"/>
      </rPr>
      <t xml:space="preserve">s </t>
    </r>
    <r>
      <rPr>
        <b/>
        <u/>
        <sz val="10"/>
        <color indexed="8"/>
        <rFont val="Arial"/>
        <family val="2"/>
      </rPr>
      <t>&lt;</t>
    </r>
    <r>
      <rPr>
        <b/>
        <sz val="10"/>
        <color indexed="8"/>
        <rFont val="Arial"/>
        <family val="2"/>
      </rPr>
      <t xml:space="preserve"> 2,00%</t>
    </r>
  </si>
  <si>
    <t xml:space="preserve">s  = </t>
  </si>
  <si>
    <r>
      <t>D</t>
    </r>
    <r>
      <rPr>
        <sz val="16"/>
        <color indexed="8"/>
        <rFont val="Arial"/>
        <family val="2"/>
      </rPr>
      <t>h
L / 100</t>
    </r>
  </si>
  <si>
    <r>
      <t xml:space="preserve">Fixeerpunt:
</t>
    </r>
    <r>
      <rPr>
        <sz val="10"/>
        <color indexed="8"/>
        <rFont val="Arial"/>
        <family val="2"/>
      </rPr>
      <t>Ze vormen de eigenlijke bevestging van de routes. Ongeacht of hiervoor draadstangen of iets dergelijks worden gebruikt, Het is belangrijk dat de afzonderlijke hoogtes precies zijn uitgelijnd.
De afstand tussen de vaste punten moet gelijk zijn.</t>
    </r>
  </si>
  <si>
    <t>Beoordeling: hoogtes van de individuele bevestigingspunten v/d helix (maximaal 10 stuks x 8 niveaus)</t>
  </si>
  <si>
    <t>Fixpunten:</t>
  </si>
  <si>
    <t>A</t>
  </si>
  <si>
    <t>B</t>
  </si>
  <si>
    <t>C</t>
  </si>
  <si>
    <t>D</t>
  </si>
  <si>
    <t>E</t>
  </si>
  <si>
    <t>F</t>
  </si>
  <si>
    <t>G</t>
  </si>
  <si>
    <t>H</t>
  </si>
  <si>
    <t>I</t>
  </si>
  <si>
    <t>J</t>
  </si>
  <si>
    <r>
      <t xml:space="preserve">Niveau </t>
    </r>
    <r>
      <rPr>
        <b/>
        <sz val="10"/>
        <color indexed="8"/>
        <rFont val="Arial"/>
        <family val="2"/>
      </rPr>
      <t>1</t>
    </r>
  </si>
  <si>
    <t>Niveau 2</t>
  </si>
  <si>
    <t>Niveau 3</t>
  </si>
  <si>
    <t>Niveau 4</t>
  </si>
  <si>
    <t>Niveau 5</t>
  </si>
  <si>
    <r>
      <t xml:space="preserve">Niveau </t>
    </r>
    <r>
      <rPr>
        <b/>
        <sz val="10"/>
        <color indexed="8"/>
        <rFont val="Arial"/>
        <family val="2"/>
      </rPr>
      <t>6</t>
    </r>
  </si>
  <si>
    <r>
      <t xml:space="preserve">Niveau </t>
    </r>
    <r>
      <rPr>
        <b/>
        <sz val="10"/>
        <color indexed="8"/>
        <rFont val="Arial"/>
        <family val="2"/>
      </rPr>
      <t>7</t>
    </r>
  </si>
  <si>
    <r>
      <t xml:space="preserve">Niveau </t>
    </r>
    <r>
      <rPr>
        <b/>
        <sz val="10"/>
        <color indexed="8"/>
        <rFont val="Arial"/>
        <family val="2"/>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</si>
</sst>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4"/>
      <color indexed="9"/>
      <name val="Arial"/>
      <family val="2"/>
    </font>
    <font>
      <sz val="11"/>
      <color indexed="8"/>
      <name val="Arial"/>
      <family val="2"/>
    </font>
    <font>
      <b/>
      <sz val="11"/>
      <name val="Arial"/>
      <family val="2"/>
    </font>
    <font>
      <b/>
      <sz val="11"/>
      <color indexed="8"/>
      <name val="Arial"/>
      <family val="2"/>
    </font>
    <font>
      <sz val="10"/>
      <color indexed="8"/>
      <name val="Arial"/>
      <family val="2"/>
    </font>
    <font>
      <b/>
      <i/>
      <sz val="10"/>
      <name val="Comic Sans MS"/>
      <family val="4"/>
    </font>
    <font>
      <sz val="10"/>
      <color indexed="16"/>
      <name val="Arial"/>
      <family val="2"/>
    </font>
    <font>
      <b/>
      <sz val="11"/>
      <color indexed="16"/>
      <name val="Arial"/>
      <family val="2"/>
    </font>
    <font>
      <b/>
      <sz val="11"/>
      <color indexed="9"/>
      <name val="Arial"/>
      <family val="2"/>
    </font>
    <font>
      <sz val="11"/>
      <name val="Arial"/>
      <family val="2"/>
    </font>
    <font>
      <vertAlign val="subscript"/>
      <sz val="10"/>
      <color indexed="8"/>
      <name val="Arial"/>
      <family val="2"/>
    </font>
    <font>
      <sz val="11"/>
      <name val="Symbol"/>
      <family val="1"/>
      <charset val="2"/>
    </font>
    <font>
      <b/>
      <i/>
      <sz val="10"/>
      <color indexed="16"/>
      <name val="Comic Sans MS"/>
      <family val="4"/>
    </font>
    <font>
      <sz val="10"/>
      <color indexed="9"/>
      <name val="Arial"/>
      <family val="2"/>
    </font>
    <font>
      <b/>
      <i/>
      <sz val="10"/>
      <color indexed="8"/>
      <name val="Comic Sans MS"/>
      <family val="4"/>
    </font>
    <font>
      <sz val="10"/>
      <color indexed="63"/>
      <name val="Arial"/>
      <family val="2"/>
    </font>
    <font>
      <sz val="12"/>
      <color indexed="9"/>
      <name val="Arial"/>
      <family val="2"/>
    </font>
    <font>
      <b/>
      <sz val="10"/>
      <color indexed="8"/>
      <name val="Arial"/>
      <family val="2"/>
    </font>
    <font>
      <b/>
      <u/>
      <sz val="10"/>
      <color indexed="8"/>
      <name val="Arial"/>
      <family val="2"/>
    </font>
    <font>
      <sz val="16"/>
      <color indexed="8"/>
      <name val="Arial"/>
      <family val="2"/>
    </font>
    <font>
      <sz val="16"/>
      <color indexed="8"/>
      <name val="Symbol"/>
      <family val="1"/>
      <charset val="2"/>
    </font>
    <font>
      <sz val="8"/>
      <color indexed="9"/>
      <name val="Arial"/>
      <family val="2"/>
    </font>
    <font>
      <b/>
      <sz val="9"/>
      <color indexed="63"/>
      <name val="Arial"/>
      <family val="2"/>
    </font>
    <font>
      <sz val="7"/>
      <color indexed="8"/>
      <name val="Arial"/>
      <family val="2"/>
    </font>
    <font>
      <b/>
      <sz val="11"/>
      <color indexed="21"/>
      <name val="Arial"/>
      <family val="2"/>
    </font>
    <font>
      <b/>
      <u/>
      <sz val="9"/>
      <color indexed="81"/>
      <name val="Tahoma"/>
      <family val="2"/>
    </font>
    <font>
      <sz val="9"/>
      <color indexed="81"/>
      <name val="Tahoma"/>
      <family val="2"/>
    </font>
    <font>
      <sz val="8"/>
      <color indexed="81"/>
      <name val="Tahoma"/>
      <family val="2"/>
    </font>
    <font>
      <b/>
      <u/>
      <vertAlign val="subscript"/>
      <sz val="10"/>
      <color indexed="81"/>
      <name val="Tahoma"/>
      <family val="2"/>
    </font>
    <font>
      <b/>
      <sz val="8"/>
      <color indexed="81"/>
      <name val="Tahoma"/>
      <family val="2"/>
    </font>
    <font>
      <b/>
      <sz val="8"/>
      <color indexed="81"/>
      <name val="Arial"/>
      <family val="2"/>
    </font>
    <font>
      <b/>
      <sz val="9"/>
      <color indexed="81"/>
      <name val="Tahoma"/>
      <family val="2"/>
    </font>
  </fonts>
  <fills count="8">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1"/>
        <bgColor indexed="64"/>
      </patternFill>
    </fill>
    <fill>
      <patternFill patternType="solid">
        <fgColor indexed="9"/>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4">
    <xf numFmtId="0" fontId="0" fillId="0" borderId="0" xfId="0"/>
    <xf numFmtId="0" fontId="0" fillId="0" borderId="0" xfId="0" applyAlignment="1">
      <alignment horizontal="center" vertical="center"/>
    </xf>
    <xf numFmtId="0" fontId="6" fillId="5" borderId="11" xfId="0" applyFont="1" applyFill="1" applyBorder="1" applyAlignment="1">
      <alignment horizontal="center"/>
    </xf>
    <xf numFmtId="0" fontId="5" fillId="3" borderId="11" xfId="0" applyFont="1" applyFill="1" applyBorder="1"/>
    <xf numFmtId="0" fontId="0" fillId="4" borderId="12" xfId="0" applyFill="1" applyBorder="1"/>
    <xf numFmtId="0" fontId="0" fillId="4" borderId="4" xfId="0" applyFill="1" applyBorder="1"/>
    <xf numFmtId="0" fontId="8" fillId="4" borderId="10" xfId="0" applyFont="1" applyFill="1" applyBorder="1" applyAlignment="1">
      <alignment horizontal="center"/>
    </xf>
    <xf numFmtId="164" fontId="9" fillId="6" borderId="11" xfId="0" applyNumberFormat="1" applyFont="1" applyFill="1" applyBorder="1"/>
    <xf numFmtId="0" fontId="5" fillId="4" borderId="13" xfId="0" applyFont="1" applyFill="1" applyBorder="1"/>
    <xf numFmtId="0" fontId="10" fillId="4" borderId="12" xfId="0" applyFont="1" applyFill="1" applyBorder="1"/>
    <xf numFmtId="0" fontId="3" fillId="4" borderId="10" xfId="0" applyFont="1" applyFill="1" applyBorder="1" applyAlignment="1">
      <alignment horizontal="center"/>
    </xf>
    <xf numFmtId="2" fontId="9" fillId="6" borderId="11" xfId="0" applyNumberFormat="1" applyFont="1" applyFill="1" applyBorder="1"/>
    <xf numFmtId="2" fontId="6" fillId="5" borderId="11" xfId="0" applyNumberFormat="1" applyFont="1" applyFill="1" applyBorder="1" applyAlignment="1">
      <alignment horizontal="center"/>
    </xf>
    <xf numFmtId="0" fontId="12" fillId="4" borderId="12" xfId="0" applyFont="1" applyFill="1" applyBorder="1"/>
    <xf numFmtId="164" fontId="9" fillId="6" borderId="11" xfId="0" applyNumberFormat="1" applyFont="1" applyFill="1" applyBorder="1" applyAlignment="1">
      <alignment horizontal="right"/>
    </xf>
    <xf numFmtId="12" fontId="13" fillId="5" borderId="17" xfId="0" applyNumberFormat="1" applyFont="1" applyFill="1" applyBorder="1" applyAlignment="1">
      <alignment horizontal="center"/>
    </xf>
    <xf numFmtId="0" fontId="7" fillId="3" borderId="17" xfId="0" applyFont="1" applyFill="1" applyBorder="1" applyAlignment="1">
      <alignment horizontal="left"/>
    </xf>
    <xf numFmtId="0" fontId="0" fillId="4" borderId="18" xfId="0" applyFill="1" applyBorder="1"/>
    <xf numFmtId="0" fontId="0" fillId="4" borderId="15" xfId="0" applyFill="1" applyBorder="1"/>
    <xf numFmtId="0" fontId="3" fillId="4" borderId="16" xfId="0" applyFont="1" applyFill="1" applyBorder="1" applyAlignment="1">
      <alignment horizontal="center"/>
    </xf>
    <xf numFmtId="164" fontId="9" fillId="6" borderId="17" xfId="0" applyNumberFormat="1" applyFont="1" applyFill="1" applyBorder="1"/>
    <xf numFmtId="0" fontId="5" fillId="4" borderId="19" xfId="0" applyFont="1" applyFill="1" applyBorder="1"/>
    <xf numFmtId="1" fontId="15" fillId="5" borderId="21" xfId="0" applyNumberFormat="1" applyFont="1" applyFill="1" applyBorder="1" applyAlignment="1">
      <alignment horizontal="center"/>
    </xf>
    <xf numFmtId="0" fontId="14" fillId="2" borderId="2" xfId="0" applyFont="1" applyFill="1" applyBorder="1" applyAlignment="1">
      <alignment vertical="center"/>
    </xf>
    <xf numFmtId="0" fontId="14" fillId="2" borderId="22" xfId="0" applyFont="1" applyFill="1" applyBorder="1"/>
    <xf numFmtId="0" fontId="16" fillId="2" borderId="2" xfId="0" applyFont="1" applyFill="1" applyBorder="1"/>
    <xf numFmtId="0" fontId="9" fillId="2" borderId="2" xfId="0" applyFont="1" applyFill="1" applyBorder="1" applyAlignment="1">
      <alignment horizontal="center"/>
    </xf>
    <xf numFmtId="2" fontId="9" fillId="6" borderId="21" xfId="0" applyNumberFormat="1" applyFont="1" applyFill="1" applyBorder="1"/>
    <xf numFmtId="0" fontId="14" fillId="2" borderId="20" xfId="0" applyFont="1" applyFill="1" applyBorder="1"/>
    <xf numFmtId="0" fontId="14" fillId="0" borderId="0" xfId="0" applyFont="1" applyAlignment="1">
      <alignment horizontal="left" vertical="center"/>
    </xf>
    <xf numFmtId="1" fontId="15" fillId="0" borderId="0" xfId="0" applyNumberFormat="1" applyFont="1" applyAlignment="1">
      <alignment horizontal="center"/>
    </xf>
    <xf numFmtId="0" fontId="14" fillId="0" borderId="0" xfId="0" applyFont="1" applyAlignment="1">
      <alignment vertical="center"/>
    </xf>
    <xf numFmtId="0" fontId="14" fillId="0" borderId="0" xfId="0" applyFont="1"/>
    <xf numFmtId="0" fontId="16" fillId="0" borderId="0" xfId="0" applyFont="1"/>
    <xf numFmtId="0" fontId="16" fillId="0" borderId="23" xfId="0" applyFont="1" applyBorder="1"/>
    <xf numFmtId="0" fontId="14" fillId="7" borderId="24" xfId="0" applyFont="1" applyFill="1" applyBorder="1" applyAlignment="1">
      <alignment horizontal="left" vertical="center"/>
    </xf>
    <xf numFmtId="0" fontId="14" fillId="7" borderId="23" xfId="0" applyFont="1" applyFill="1" applyBorder="1" applyAlignment="1">
      <alignment horizontal="left" vertical="center"/>
    </xf>
    <xf numFmtId="1" fontId="15" fillId="7" borderId="23" xfId="0" applyNumberFormat="1" applyFont="1" applyFill="1" applyBorder="1" applyAlignment="1">
      <alignment horizontal="center"/>
    </xf>
    <xf numFmtId="0" fontId="14" fillId="7" borderId="25" xfId="0" applyFont="1" applyFill="1" applyBorder="1" applyAlignment="1">
      <alignment horizontal="left" vertical="center"/>
    </xf>
    <xf numFmtId="0" fontId="14" fillId="7" borderId="0" xfId="0" applyFont="1" applyFill="1" applyAlignment="1">
      <alignment horizontal="left" vertical="center"/>
    </xf>
    <xf numFmtId="1" fontId="15" fillId="7" borderId="0" xfId="0" applyNumberFormat="1" applyFont="1" applyFill="1" applyAlignment="1">
      <alignment horizontal="center"/>
    </xf>
    <xf numFmtId="0" fontId="14" fillId="7" borderId="32" xfId="0" applyFont="1" applyFill="1" applyBorder="1" applyAlignment="1">
      <alignment horizontal="left" vertical="center"/>
    </xf>
    <xf numFmtId="0" fontId="14" fillId="7" borderId="33" xfId="0" applyFont="1" applyFill="1" applyBorder="1" applyAlignment="1">
      <alignment horizontal="left" vertical="center"/>
    </xf>
    <xf numFmtId="1" fontId="15" fillId="7" borderId="33" xfId="0" applyNumberFormat="1" applyFont="1" applyFill="1" applyBorder="1" applyAlignment="1">
      <alignment horizontal="center"/>
    </xf>
    <xf numFmtId="0" fontId="18" fillId="0" borderId="0" xfId="0" applyFont="1" applyAlignment="1">
      <alignment horizontal="left" vertical="center" wrapText="1"/>
    </xf>
    <xf numFmtId="0" fontId="18" fillId="0" borderId="33" xfId="0" applyFont="1" applyBorder="1" applyAlignment="1">
      <alignment horizontal="left" vertical="center" wrapText="1"/>
    </xf>
    <xf numFmtId="0" fontId="16" fillId="0" borderId="33" xfId="0" applyFont="1" applyBorder="1"/>
    <xf numFmtId="0" fontId="18" fillId="3" borderId="36" xfId="0" applyFont="1" applyFill="1" applyBorder="1" applyAlignment="1">
      <alignment horizontal="center" vertical="center"/>
    </xf>
    <xf numFmtId="164" fontId="18" fillId="3" borderId="36" xfId="0" applyNumberFormat="1" applyFont="1" applyFill="1" applyBorder="1" applyAlignment="1">
      <alignment horizontal="center" vertical="center"/>
    </xf>
    <xf numFmtId="0" fontId="18" fillId="3" borderId="37" xfId="0" applyFont="1" applyFill="1" applyBorder="1" applyAlignment="1">
      <alignment horizontal="center" vertical="center"/>
    </xf>
    <xf numFmtId="0" fontId="24" fillId="3" borderId="7" xfId="0" applyFont="1" applyFill="1" applyBorder="1" applyAlignment="1">
      <alignment horizontal="center" vertical="top"/>
    </xf>
    <xf numFmtId="1" fontId="24" fillId="3" borderId="39" xfId="0" applyNumberFormat="1" applyFont="1" applyFill="1" applyBorder="1" applyAlignment="1">
      <alignment horizontal="center" vertical="top"/>
    </xf>
    <xf numFmtId="0" fontId="24" fillId="3" borderId="39" xfId="0" applyFont="1" applyFill="1" applyBorder="1" applyAlignment="1">
      <alignment horizontal="center" vertical="top"/>
    </xf>
    <xf numFmtId="0" fontId="24" fillId="3" borderId="40" xfId="0" applyFont="1" applyFill="1" applyBorder="1" applyAlignment="1">
      <alignment horizontal="center" vertical="top"/>
    </xf>
    <xf numFmtId="0" fontId="5" fillId="3" borderId="41" xfId="0" applyFont="1" applyFill="1" applyBorder="1" applyAlignment="1">
      <alignment horizontal="left"/>
    </xf>
    <xf numFmtId="164" fontId="25" fillId="7" borderId="10" xfId="0" applyNumberFormat="1" applyFont="1" applyFill="1" applyBorder="1" applyAlignment="1">
      <alignment horizontal="center" vertical="center"/>
    </xf>
    <xf numFmtId="164" fontId="25" fillId="7" borderId="11" xfId="0" applyNumberFormat="1" applyFont="1" applyFill="1" applyBorder="1" applyAlignment="1">
      <alignment horizontal="center" vertical="center"/>
    </xf>
    <xf numFmtId="164" fontId="25" fillId="7" borderId="13" xfId="0" applyNumberFormat="1" applyFont="1" applyFill="1" applyBorder="1" applyAlignment="1">
      <alignment horizontal="center" vertical="center"/>
    </xf>
    <xf numFmtId="0" fontId="5" fillId="3" borderId="42" xfId="0" applyFont="1" applyFill="1" applyBorder="1" applyAlignment="1">
      <alignment horizontal="left"/>
    </xf>
    <xf numFmtId="164" fontId="25" fillId="7" borderId="43" xfId="0" applyNumberFormat="1" applyFont="1" applyFill="1" applyBorder="1" applyAlignment="1">
      <alignment horizontal="center" vertical="center"/>
    </xf>
    <xf numFmtId="164" fontId="25" fillId="7" borderId="44" xfId="0" applyNumberFormat="1" applyFont="1" applyFill="1" applyBorder="1" applyAlignment="1">
      <alignment horizontal="center" vertical="center"/>
    </xf>
    <xf numFmtId="164" fontId="25" fillId="7" borderId="45" xfId="0" applyNumberFormat="1" applyFont="1" applyFill="1" applyBorder="1" applyAlignment="1">
      <alignment horizontal="center" vertical="center"/>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31" xfId="0" applyFont="1" applyBorder="1" applyAlignment="1">
      <alignment horizontal="left" vertical="center" wrapText="1"/>
    </xf>
    <xf numFmtId="0" fontId="18" fillId="0" borderId="25" xfId="0" applyFont="1" applyBorder="1" applyAlignment="1">
      <alignment horizontal="left" vertical="center" wrapText="1"/>
    </xf>
    <xf numFmtId="0" fontId="18" fillId="0" borderId="0" xfId="0" applyFont="1" applyAlignment="1">
      <alignment horizontal="left" vertical="center" wrapText="1"/>
    </xf>
    <xf numFmtId="0" fontId="18" fillId="0" borderId="30"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2" fillId="2" borderId="1" xfId="0" applyFont="1" applyFill="1" applyBorder="1" applyAlignment="1">
      <alignment horizontal="left" vertical="center"/>
    </xf>
    <xf numFmtId="0" fontId="22" fillId="2" borderId="2" xfId="0" applyFont="1" applyFill="1" applyBorder="1" applyAlignment="1">
      <alignment horizontal="left" vertical="center"/>
    </xf>
    <xf numFmtId="0" fontId="23" fillId="3" borderId="35" xfId="0" applyFont="1" applyFill="1" applyBorder="1" applyAlignment="1">
      <alignment horizontal="center" vertical="center"/>
    </xf>
    <xf numFmtId="0" fontId="23" fillId="3" borderId="38" xfId="0" applyFont="1" applyFill="1" applyBorder="1" applyAlignment="1">
      <alignment horizontal="center" vertical="center"/>
    </xf>
    <xf numFmtId="0" fontId="5" fillId="3" borderId="3" xfId="0" applyFont="1" applyFill="1" applyBorder="1" applyAlignment="1">
      <alignment horizontal="left"/>
    </xf>
    <xf numFmtId="0" fontId="5" fillId="3" borderId="4" xfId="0" applyFont="1" applyFill="1" applyBorder="1" applyAlignment="1">
      <alignment horizontal="left"/>
    </xf>
    <xf numFmtId="0" fontId="5" fillId="3" borderId="10" xfId="0" applyFont="1" applyFill="1" applyBorder="1" applyAlignment="1">
      <alignment horizontal="left"/>
    </xf>
    <xf numFmtId="0" fontId="2" fillId="3" borderId="3" xfId="0" applyFont="1" applyFill="1" applyBorder="1" applyAlignment="1">
      <alignment horizontal="left"/>
    </xf>
    <xf numFmtId="0" fontId="5" fillId="3" borderId="14" xfId="0" applyFont="1" applyFill="1" applyBorder="1" applyAlignment="1">
      <alignment horizontal="left"/>
    </xf>
    <xf numFmtId="0" fontId="5" fillId="3" borderId="15" xfId="0" applyFont="1" applyFill="1" applyBorder="1" applyAlignment="1">
      <alignment horizontal="left"/>
    </xf>
    <xf numFmtId="0" fontId="5" fillId="3" borderId="16" xfId="0" applyFont="1" applyFill="1" applyBorder="1" applyAlignment="1">
      <alignment horizontal="left"/>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20" xfId="0" applyFont="1" applyFill="1" applyBorder="1" applyAlignment="1">
      <alignment horizontal="left" vertical="center"/>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20" xfId="0" applyFont="1" applyFill="1" applyBorder="1" applyAlignment="1">
      <alignment horizontal="left" vertic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0" fillId="7" borderId="27" xfId="0" applyFont="1" applyFill="1" applyBorder="1" applyAlignment="1">
      <alignment horizontal="right" vertical="center"/>
    </xf>
    <xf numFmtId="0" fontId="20" fillId="7" borderId="29" xfId="0" applyFont="1" applyFill="1" applyBorder="1" applyAlignment="1">
      <alignment horizontal="right" vertical="center"/>
    </xf>
    <xf numFmtId="0" fontId="20" fillId="7" borderId="8" xfId="0" applyFont="1" applyFill="1" applyBorder="1" applyAlignment="1">
      <alignment horizontal="right" vertical="center"/>
    </xf>
    <xf numFmtId="0" fontId="21" fillId="7" borderId="23" xfId="0" applyFont="1" applyFill="1" applyBorder="1" applyAlignment="1">
      <alignment horizontal="center" vertical="center" wrapText="1"/>
    </xf>
    <xf numFmtId="0" fontId="20" fillId="7" borderId="28" xfId="0" applyFont="1" applyFill="1" applyBorder="1" applyAlignment="1">
      <alignment horizontal="center" vertical="center"/>
    </xf>
    <xf numFmtId="0" fontId="20" fillId="7" borderId="0" xfId="0" applyFont="1" applyFill="1" applyAlignment="1">
      <alignment horizontal="center" vertical="center"/>
    </xf>
    <xf numFmtId="0" fontId="20" fillId="7" borderId="30"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9"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0" xfId="0" applyAlignment="1">
      <alignment horizontal="center"/>
    </xf>
    <xf numFmtId="0" fontId="2" fillId="0" borderId="0" xfId="0" applyFont="1" applyFill="1" applyBorder="1" applyAlignment="1" applyProtection="1">
      <alignment horizontal="center" vertical="center"/>
      <protection locked="0"/>
    </xf>
    <xf numFmtId="0" fontId="0" fillId="0" borderId="0"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3</xdr:row>
      <xdr:rowOff>0</xdr:rowOff>
    </xdr:from>
    <xdr:to>
      <xdr:col>11</xdr:col>
      <xdr:colOff>0</xdr:colOff>
      <xdr:row>9</xdr:row>
      <xdr:rowOff>0</xdr:rowOff>
    </xdr:to>
    <xdr:sp macro="" textlink="">
      <xdr:nvSpPr>
        <xdr:cNvPr id="11" name="Rectangle 10">
          <a:extLst>
            <a:ext uri="{FF2B5EF4-FFF2-40B4-BE49-F238E27FC236}">
              <a16:creationId xmlns:a16="http://schemas.microsoft.com/office/drawing/2014/main" id="{A08DE3B1-251A-435E-BA5D-036E68912492}"/>
            </a:ext>
          </a:extLst>
        </xdr:cNvPr>
        <xdr:cNvSpPr>
          <a:spLocks noChangeArrowheads="1"/>
        </xdr:cNvSpPr>
      </xdr:nvSpPr>
      <xdr:spPr bwMode="auto">
        <a:xfrm>
          <a:off x="4876800" y="695325"/>
          <a:ext cx="5524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10</xdr:col>
      <xdr:colOff>0</xdr:colOff>
      <xdr:row>3</xdr:row>
      <xdr:rowOff>0</xdr:rowOff>
    </xdr:from>
    <xdr:to>
      <xdr:col>11</xdr:col>
      <xdr:colOff>0</xdr:colOff>
      <xdr:row>9</xdr:row>
      <xdr:rowOff>0</xdr:rowOff>
    </xdr:to>
    <xdr:sp macro="" textlink="">
      <xdr:nvSpPr>
        <xdr:cNvPr id="12" name="Rectangle 12">
          <a:extLst>
            <a:ext uri="{FF2B5EF4-FFF2-40B4-BE49-F238E27FC236}">
              <a16:creationId xmlns:a16="http://schemas.microsoft.com/office/drawing/2014/main" id="{727E497E-2E30-4C6C-9675-90028C759467}"/>
            </a:ext>
          </a:extLst>
        </xdr:cNvPr>
        <xdr:cNvSpPr>
          <a:spLocks noChangeArrowheads="1"/>
        </xdr:cNvSpPr>
      </xdr:nvSpPr>
      <xdr:spPr bwMode="auto">
        <a:xfrm>
          <a:off x="4876800" y="695325"/>
          <a:ext cx="5524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10</xdr:col>
      <xdr:colOff>0</xdr:colOff>
      <xdr:row>3</xdr:row>
      <xdr:rowOff>0</xdr:rowOff>
    </xdr:from>
    <xdr:to>
      <xdr:col>11</xdr:col>
      <xdr:colOff>0</xdr:colOff>
      <xdr:row>9</xdr:row>
      <xdr:rowOff>0</xdr:rowOff>
    </xdr:to>
    <xdr:sp macro="" textlink="">
      <xdr:nvSpPr>
        <xdr:cNvPr id="13" name="Rectangle 13">
          <a:extLst>
            <a:ext uri="{FF2B5EF4-FFF2-40B4-BE49-F238E27FC236}">
              <a16:creationId xmlns:a16="http://schemas.microsoft.com/office/drawing/2014/main" id="{FFE2BEFF-D50F-43AA-9259-17E0E57A5406}"/>
            </a:ext>
          </a:extLst>
        </xdr:cNvPr>
        <xdr:cNvSpPr>
          <a:spLocks noChangeArrowheads="1"/>
        </xdr:cNvSpPr>
      </xdr:nvSpPr>
      <xdr:spPr bwMode="auto">
        <a:xfrm>
          <a:off x="4876800" y="695325"/>
          <a:ext cx="55245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1</xdr:col>
      <xdr:colOff>0</xdr:colOff>
      <xdr:row>20</xdr:row>
      <xdr:rowOff>0</xdr:rowOff>
    </xdr:from>
    <xdr:to>
      <xdr:col>12</xdr:col>
      <xdr:colOff>0</xdr:colOff>
      <xdr:row>31</xdr:row>
      <xdr:rowOff>0</xdr:rowOff>
    </xdr:to>
    <xdr:sp macro="" textlink="">
      <xdr:nvSpPr>
        <xdr:cNvPr id="14" name="Rectangle 16">
          <a:extLst>
            <a:ext uri="{FF2B5EF4-FFF2-40B4-BE49-F238E27FC236}">
              <a16:creationId xmlns:a16="http://schemas.microsoft.com/office/drawing/2014/main" id="{C589ED7C-81AE-47E4-877B-BBBD10A01349}"/>
            </a:ext>
          </a:extLst>
        </xdr:cNvPr>
        <xdr:cNvSpPr>
          <a:spLocks noChangeArrowheads="1"/>
        </xdr:cNvSpPr>
      </xdr:nvSpPr>
      <xdr:spPr bwMode="auto">
        <a:xfrm>
          <a:off x="180975" y="4381500"/>
          <a:ext cx="5762625" cy="2286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1</xdr:col>
      <xdr:colOff>0</xdr:colOff>
      <xdr:row>1</xdr:row>
      <xdr:rowOff>0</xdr:rowOff>
    </xdr:from>
    <xdr:to>
      <xdr:col>12</xdr:col>
      <xdr:colOff>0</xdr:colOff>
      <xdr:row>9</xdr:row>
      <xdr:rowOff>0</xdr:rowOff>
    </xdr:to>
    <xdr:sp macro="" textlink="">
      <xdr:nvSpPr>
        <xdr:cNvPr id="15" name="Rectangle 25">
          <a:extLst>
            <a:ext uri="{FF2B5EF4-FFF2-40B4-BE49-F238E27FC236}">
              <a16:creationId xmlns:a16="http://schemas.microsoft.com/office/drawing/2014/main" id="{9645A87D-9BA3-4FEC-99D8-843FFD3080DC}"/>
            </a:ext>
          </a:extLst>
        </xdr:cNvPr>
        <xdr:cNvSpPr>
          <a:spLocks noChangeArrowheads="1"/>
        </xdr:cNvSpPr>
      </xdr:nvSpPr>
      <xdr:spPr bwMode="auto">
        <a:xfrm>
          <a:off x="180975" y="171450"/>
          <a:ext cx="5762625" cy="1790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20</xdr:row>
      <xdr:rowOff>0</xdr:rowOff>
    </xdr:from>
    <xdr:to>
      <xdr:col>12</xdr:col>
      <xdr:colOff>0</xdr:colOff>
      <xdr:row>31</xdr:row>
      <xdr:rowOff>0</xdr:rowOff>
    </xdr:to>
    <xdr:sp macro="" textlink="">
      <xdr:nvSpPr>
        <xdr:cNvPr id="16" name="Rectangle 26">
          <a:extLst>
            <a:ext uri="{FF2B5EF4-FFF2-40B4-BE49-F238E27FC236}">
              <a16:creationId xmlns:a16="http://schemas.microsoft.com/office/drawing/2014/main" id="{CD271ECB-5A4D-47EB-B478-AFA8FA2A1685}"/>
            </a:ext>
          </a:extLst>
        </xdr:cNvPr>
        <xdr:cNvSpPr>
          <a:spLocks noChangeArrowheads="1"/>
        </xdr:cNvSpPr>
      </xdr:nvSpPr>
      <xdr:spPr bwMode="auto">
        <a:xfrm>
          <a:off x="180975" y="4381500"/>
          <a:ext cx="5762625" cy="2286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editAs="oneCell">
    <xdr:from>
      <xdr:col>1</xdr:col>
      <xdr:colOff>28575</xdr:colOff>
      <xdr:row>10</xdr:row>
      <xdr:rowOff>0</xdr:rowOff>
    </xdr:from>
    <xdr:to>
      <xdr:col>4</xdr:col>
      <xdr:colOff>390525</xdr:colOff>
      <xdr:row>20</xdr:row>
      <xdr:rowOff>0</xdr:rowOff>
    </xdr:to>
    <xdr:pic>
      <xdr:nvPicPr>
        <xdr:cNvPr id="17" name="Picture 35">
          <a:extLst>
            <a:ext uri="{FF2B5EF4-FFF2-40B4-BE49-F238E27FC236}">
              <a16:creationId xmlns:a16="http://schemas.microsoft.com/office/drawing/2014/main" id="{5069066C-52D7-4177-A4FC-A4750AF74B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057400"/>
          <a:ext cx="219075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95250</xdr:colOff>
      <xdr:row>12</xdr:row>
      <xdr:rowOff>114300</xdr:rowOff>
    </xdr:from>
    <xdr:to>
      <xdr:col>11</xdr:col>
      <xdr:colOff>428625</xdr:colOff>
      <xdr:row>12</xdr:row>
      <xdr:rowOff>114300</xdr:rowOff>
    </xdr:to>
    <xdr:sp macro="" textlink="">
      <xdr:nvSpPr>
        <xdr:cNvPr id="18" name="Line 38">
          <a:extLst>
            <a:ext uri="{FF2B5EF4-FFF2-40B4-BE49-F238E27FC236}">
              <a16:creationId xmlns:a16="http://schemas.microsoft.com/office/drawing/2014/main" id="{36852F2C-B597-4688-95A2-8B7D9BB7959F}"/>
            </a:ext>
          </a:extLst>
        </xdr:cNvPr>
        <xdr:cNvSpPr>
          <a:spLocks noChangeShapeType="1"/>
        </xdr:cNvSpPr>
      </xdr:nvSpPr>
      <xdr:spPr bwMode="auto">
        <a:xfrm>
          <a:off x="4972050" y="2667000"/>
          <a:ext cx="885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95249</xdr:rowOff>
    </xdr:from>
    <xdr:to>
      <xdr:col>12</xdr:col>
      <xdr:colOff>0</xdr:colOff>
      <xdr:row>18</xdr:row>
      <xdr:rowOff>123824</xdr:rowOff>
    </xdr:to>
    <xdr:sp macro="" textlink="">
      <xdr:nvSpPr>
        <xdr:cNvPr id="19" name="Rectangle 40">
          <a:extLst>
            <a:ext uri="{FF2B5EF4-FFF2-40B4-BE49-F238E27FC236}">
              <a16:creationId xmlns:a16="http://schemas.microsoft.com/office/drawing/2014/main" id="{6B83DAB5-0069-4385-A379-141F1EE2E535}"/>
            </a:ext>
          </a:extLst>
        </xdr:cNvPr>
        <xdr:cNvSpPr>
          <a:spLocks noChangeArrowheads="1"/>
        </xdr:cNvSpPr>
      </xdr:nvSpPr>
      <xdr:spPr bwMode="auto">
        <a:xfrm>
          <a:off x="180975" y="2057399"/>
          <a:ext cx="5762625" cy="2105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16CC-E590-4DEC-8AF2-C976C7C63B59}">
  <dimension ref="A1:T31"/>
  <sheetViews>
    <sheetView tabSelected="1" workbookViewId="0">
      <selection activeCell="R16" sqref="R16"/>
    </sheetView>
  </sheetViews>
  <sheetFormatPr defaultRowHeight="15" x14ac:dyDescent="0.25"/>
  <cols>
    <col min="1" max="1" width="4.7109375" customWidth="1"/>
  </cols>
  <sheetData>
    <row r="1" spans="1:20" ht="15.75" thickBot="1" x14ac:dyDescent="0.3"/>
    <row r="2" spans="1:20" ht="18.75" thickBot="1" x14ac:dyDescent="0.3">
      <c r="A2" s="1"/>
      <c r="B2" s="103" t="s">
        <v>0</v>
      </c>
      <c r="C2" s="104"/>
      <c r="D2" s="104"/>
      <c r="E2" s="104"/>
      <c r="F2" s="104"/>
      <c r="G2" s="104"/>
      <c r="H2" s="104"/>
      <c r="I2" s="104"/>
      <c r="J2" s="104"/>
      <c r="K2" s="111" t="s">
        <v>1</v>
      </c>
      <c r="L2" s="111"/>
    </row>
    <row r="3" spans="1:20" x14ac:dyDescent="0.25">
      <c r="B3" s="105" t="s">
        <v>2</v>
      </c>
      <c r="C3" s="106"/>
      <c r="D3" s="106"/>
      <c r="E3" s="106"/>
      <c r="F3" s="107"/>
      <c r="G3" s="108" t="s">
        <v>3</v>
      </c>
      <c r="H3" s="109"/>
      <c r="I3" s="109"/>
      <c r="J3" s="109"/>
      <c r="K3" s="109"/>
      <c r="L3" s="110"/>
    </row>
    <row r="4" spans="1:20" ht="16.5" x14ac:dyDescent="0.35">
      <c r="B4" s="78" t="s">
        <v>4</v>
      </c>
      <c r="C4" s="76"/>
      <c r="D4" s="77"/>
      <c r="E4" s="2">
        <v>40</v>
      </c>
      <c r="F4" s="3" t="s">
        <v>5</v>
      </c>
      <c r="G4" s="4" t="s">
        <v>6</v>
      </c>
      <c r="H4" s="5"/>
      <c r="I4" s="5"/>
      <c r="J4" s="6" t="s">
        <v>7</v>
      </c>
      <c r="K4" s="7">
        <f>E4/(K8/100*E7)</f>
        <v>0.45859462807664619</v>
      </c>
      <c r="L4" s="8" t="s">
        <v>8</v>
      </c>
    </row>
    <row r="5" spans="1:20" ht="16.5" x14ac:dyDescent="0.35">
      <c r="B5" s="78" t="s">
        <v>9</v>
      </c>
      <c r="C5" s="76"/>
      <c r="D5" s="77"/>
      <c r="E5" s="2">
        <v>450</v>
      </c>
      <c r="F5" s="3" t="s">
        <v>5</v>
      </c>
      <c r="G5" s="9" t="s">
        <v>10</v>
      </c>
      <c r="H5" s="5"/>
      <c r="I5" s="5"/>
      <c r="J5" s="10" t="s">
        <v>7</v>
      </c>
      <c r="K5" s="11">
        <f>K7/K8*100</f>
        <v>0.27515677684598772</v>
      </c>
      <c r="L5" s="8" t="s">
        <v>11</v>
      </c>
    </row>
    <row r="6" spans="1:20" ht="16.5" x14ac:dyDescent="0.35">
      <c r="B6" s="75" t="s">
        <v>12</v>
      </c>
      <c r="C6" s="76"/>
      <c r="D6" s="77"/>
      <c r="E6" s="2">
        <v>40</v>
      </c>
      <c r="F6" s="3" t="s">
        <v>5</v>
      </c>
      <c r="G6" s="4" t="s">
        <v>13</v>
      </c>
      <c r="H6" s="5"/>
      <c r="I6" s="5"/>
      <c r="J6" s="10" t="s">
        <v>7</v>
      </c>
      <c r="K6" s="11">
        <f>SQRT(SUMSQ(K7:K8))*E8/100</f>
        <v>145.37221972405277</v>
      </c>
      <c r="L6" s="8" t="s">
        <v>14</v>
      </c>
    </row>
    <row r="7" spans="1:20" ht="16.5" x14ac:dyDescent="0.35">
      <c r="B7" s="78" t="s">
        <v>15</v>
      </c>
      <c r="C7" s="76"/>
      <c r="D7" s="77"/>
      <c r="E7" s="12">
        <v>3</v>
      </c>
      <c r="F7" s="3" t="s">
        <v>11</v>
      </c>
      <c r="G7" s="13" t="s">
        <v>16</v>
      </c>
      <c r="H7" s="5"/>
      <c r="I7" s="5"/>
      <c r="J7" s="10" t="s">
        <v>7</v>
      </c>
      <c r="K7" s="14">
        <f>E4/E8</f>
        <v>8</v>
      </c>
      <c r="L7" s="8" t="s">
        <v>5</v>
      </c>
    </row>
    <row r="8" spans="1:20" ht="17.25" thickBot="1" x14ac:dyDescent="0.4">
      <c r="B8" s="79" t="s">
        <v>17</v>
      </c>
      <c r="C8" s="80"/>
      <c r="D8" s="81"/>
      <c r="E8" s="15">
        <v>5</v>
      </c>
      <c r="F8" s="16" t="s">
        <v>18</v>
      </c>
      <c r="G8" s="17" t="s">
        <v>19</v>
      </c>
      <c r="H8" s="18"/>
      <c r="I8" s="18"/>
      <c r="J8" s="19" t="s">
        <v>7</v>
      </c>
      <c r="K8" s="20">
        <f>E5*2*PI()+E6*2</f>
        <v>2907.4333882308138</v>
      </c>
      <c r="L8" s="21" t="s">
        <v>5</v>
      </c>
    </row>
    <row r="9" spans="1:20" ht="17.25" thickBot="1" x14ac:dyDescent="0.4">
      <c r="B9" s="82" t="s">
        <v>20</v>
      </c>
      <c r="C9" s="83"/>
      <c r="D9" s="84"/>
      <c r="E9" s="22">
        <v>10</v>
      </c>
      <c r="F9" s="23" t="s">
        <v>18</v>
      </c>
      <c r="G9" s="24" t="s">
        <v>21</v>
      </c>
      <c r="H9" s="25"/>
      <c r="I9" s="25"/>
      <c r="J9" s="26" t="s">
        <v>7</v>
      </c>
      <c r="K9" s="27">
        <f>K7/E9</f>
        <v>0.8</v>
      </c>
      <c r="L9" s="28" t="s">
        <v>5</v>
      </c>
    </row>
    <row r="10" spans="1:20" ht="17.25" thickBot="1" x14ac:dyDescent="0.4">
      <c r="B10" s="29"/>
      <c r="C10" s="29"/>
      <c r="D10" s="29"/>
      <c r="E10" s="30"/>
      <c r="F10" s="31"/>
      <c r="G10" s="32"/>
      <c r="H10" s="33"/>
      <c r="I10" s="33"/>
      <c r="J10" s="33"/>
      <c r="K10" s="33"/>
      <c r="L10" s="34"/>
    </row>
    <row r="11" spans="1:20" ht="17.25" thickBot="1" x14ac:dyDescent="0.4">
      <c r="B11" s="35"/>
      <c r="C11" s="36"/>
      <c r="D11" s="36"/>
      <c r="E11" s="37"/>
      <c r="F11" s="85" t="s">
        <v>22</v>
      </c>
      <c r="G11" s="86"/>
      <c r="H11" s="86"/>
      <c r="I11" s="86"/>
      <c r="J11" s="86"/>
      <c r="K11" s="86"/>
      <c r="L11" s="87"/>
    </row>
    <row r="12" spans="1:20" ht="16.5" x14ac:dyDescent="0.35">
      <c r="B12" s="38"/>
      <c r="C12" s="39"/>
      <c r="D12" s="39"/>
      <c r="E12" s="40"/>
      <c r="F12" s="88" t="s">
        <v>23</v>
      </c>
      <c r="G12" s="89"/>
      <c r="H12" s="89"/>
      <c r="I12" s="90"/>
      <c r="J12" s="94" t="s">
        <v>24</v>
      </c>
      <c r="K12" s="97" t="s">
        <v>25</v>
      </c>
      <c r="L12" s="98"/>
    </row>
    <row r="13" spans="1:20" ht="16.5" x14ac:dyDescent="0.35">
      <c r="B13" s="38"/>
      <c r="C13" s="39"/>
      <c r="D13" s="39"/>
      <c r="E13" s="40"/>
      <c r="F13" s="88"/>
      <c r="G13" s="89"/>
      <c r="H13" s="89"/>
      <c r="I13" s="90"/>
      <c r="J13" s="95"/>
      <c r="K13" s="99"/>
      <c r="L13" s="100"/>
    </row>
    <row r="14" spans="1:20" ht="16.5" x14ac:dyDescent="0.35">
      <c r="B14" s="38"/>
      <c r="C14" s="39"/>
      <c r="D14" s="39"/>
      <c r="E14" s="40"/>
      <c r="F14" s="91"/>
      <c r="G14" s="92"/>
      <c r="H14" s="92"/>
      <c r="I14" s="93"/>
      <c r="J14" s="96"/>
      <c r="K14" s="101"/>
      <c r="L14" s="102"/>
    </row>
    <row r="15" spans="1:20" ht="16.5" x14ac:dyDescent="0.35">
      <c r="B15" s="38"/>
      <c r="C15" s="39"/>
      <c r="D15" s="39"/>
      <c r="E15" s="40"/>
      <c r="F15" s="62" t="s">
        <v>26</v>
      </c>
      <c r="G15" s="63"/>
      <c r="H15" s="63"/>
      <c r="I15" s="63"/>
      <c r="J15" s="63"/>
      <c r="K15" s="63"/>
      <c r="L15" s="64"/>
      <c r="S15" s="112"/>
      <c r="T15" s="112"/>
    </row>
    <row r="16" spans="1:20" ht="16.5" x14ac:dyDescent="0.35">
      <c r="B16" s="38"/>
      <c r="C16" s="39"/>
      <c r="D16" s="39"/>
      <c r="E16" s="40"/>
      <c r="F16" s="65"/>
      <c r="G16" s="66"/>
      <c r="H16" s="66"/>
      <c r="I16" s="66"/>
      <c r="J16" s="66"/>
      <c r="K16" s="66"/>
      <c r="L16" s="67"/>
      <c r="S16" s="113"/>
      <c r="T16" s="113"/>
    </row>
    <row r="17" spans="2:20" ht="16.5" x14ac:dyDescent="0.35">
      <c r="B17" s="38"/>
      <c r="C17" s="39"/>
      <c r="D17" s="39"/>
      <c r="E17" s="40"/>
      <c r="F17" s="65"/>
      <c r="G17" s="66"/>
      <c r="H17" s="66"/>
      <c r="I17" s="66"/>
      <c r="J17" s="66"/>
      <c r="K17" s="66"/>
      <c r="L17" s="67"/>
      <c r="S17" s="113"/>
      <c r="T17" s="113"/>
    </row>
    <row r="18" spans="2:20" ht="17.25" thickBot="1" x14ac:dyDescent="0.4">
      <c r="B18" s="41"/>
      <c r="C18" s="42"/>
      <c r="D18" s="42"/>
      <c r="E18" s="43"/>
      <c r="F18" s="68"/>
      <c r="G18" s="69"/>
      <c r="H18" s="69"/>
      <c r="I18" s="69"/>
      <c r="J18" s="69"/>
      <c r="K18" s="69"/>
      <c r="L18" s="70"/>
      <c r="S18" s="113"/>
      <c r="T18" s="113"/>
    </row>
    <row r="19" spans="2:20" ht="17.25" thickBot="1" x14ac:dyDescent="0.4">
      <c r="B19" s="39"/>
      <c r="C19" s="39"/>
      <c r="D19" s="39"/>
      <c r="E19" s="40"/>
      <c r="F19" s="44"/>
      <c r="G19" s="44"/>
      <c r="H19" s="44"/>
      <c r="I19" s="44"/>
      <c r="J19" s="44"/>
      <c r="K19" s="44"/>
      <c r="L19" s="45"/>
      <c r="S19" s="113"/>
      <c r="T19" s="113"/>
    </row>
    <row r="20" spans="2:20" ht="17.25" thickBot="1" x14ac:dyDescent="0.4">
      <c r="B20" s="29"/>
      <c r="C20" s="29"/>
      <c r="D20" s="29"/>
      <c r="E20" s="30"/>
      <c r="F20" s="31"/>
      <c r="G20" s="32"/>
      <c r="H20" s="33"/>
      <c r="I20" s="33"/>
      <c r="J20" s="33"/>
      <c r="K20" s="33"/>
      <c r="L20" s="46"/>
      <c r="S20" s="112"/>
      <c r="T20" s="112"/>
    </row>
    <row r="21" spans="2:20" ht="15.75" thickBot="1" x14ac:dyDescent="0.3">
      <c r="B21" s="71" t="s">
        <v>27</v>
      </c>
      <c r="C21" s="72"/>
      <c r="D21" s="72"/>
      <c r="E21" s="72"/>
      <c r="F21" s="72"/>
      <c r="G21" s="72"/>
      <c r="H21" s="72"/>
      <c r="I21" s="72"/>
      <c r="J21" s="72"/>
      <c r="K21" s="111" t="s">
        <v>1</v>
      </c>
      <c r="L21" s="111"/>
    </row>
    <row r="22" spans="2:20" x14ac:dyDescent="0.25">
      <c r="B22" s="73" t="s">
        <v>28</v>
      </c>
      <c r="C22" s="47" t="s">
        <v>29</v>
      </c>
      <c r="D22" s="48" t="s">
        <v>30</v>
      </c>
      <c r="E22" s="47" t="s">
        <v>31</v>
      </c>
      <c r="F22" s="47" t="s">
        <v>32</v>
      </c>
      <c r="G22" s="47" t="s">
        <v>33</v>
      </c>
      <c r="H22" s="47" t="s">
        <v>34</v>
      </c>
      <c r="I22" s="47" t="s">
        <v>35</v>
      </c>
      <c r="J22" s="47" t="s">
        <v>36</v>
      </c>
      <c r="K22" s="47" t="s">
        <v>37</v>
      </c>
      <c r="L22" s="49" t="s">
        <v>38</v>
      </c>
    </row>
    <row r="23" spans="2:20" x14ac:dyDescent="0.25">
      <c r="B23" s="74"/>
      <c r="C23" s="50">
        <v>1</v>
      </c>
      <c r="D23" s="51">
        <v>2</v>
      </c>
      <c r="E23" s="52">
        <v>3</v>
      </c>
      <c r="F23" s="52">
        <v>4</v>
      </c>
      <c r="G23" s="52">
        <v>5</v>
      </c>
      <c r="H23" s="52">
        <v>6</v>
      </c>
      <c r="I23" s="52">
        <v>7</v>
      </c>
      <c r="J23" s="52">
        <v>8</v>
      </c>
      <c r="K23" s="52">
        <v>9</v>
      </c>
      <c r="L23" s="53">
        <v>10</v>
      </c>
    </row>
    <row r="24" spans="2:20" x14ac:dyDescent="0.25">
      <c r="B24" s="54" t="s">
        <v>39</v>
      </c>
      <c r="C24" s="55">
        <f>IF(E9&gt;=1,IF(K9*0+0*K7&lt;=E4,K9*0+0*K7,"-"),"-")</f>
        <v>0</v>
      </c>
      <c r="D24" s="56">
        <f>IF(E9&gt;=2,IF(K9*1+0*K7&lt;=E4,K9*1+0*K7,"-"),"-")</f>
        <v>0.8</v>
      </c>
      <c r="E24" s="56">
        <f>IF(E9&gt;=3,IF(K9*2+0*K7&lt;=E4,K9*2+0*K7,"-"),"-")</f>
        <v>1.6</v>
      </c>
      <c r="F24" s="56">
        <f>IF(E9&gt;=4,IF(K9*3+0*K7&lt;=E4,K9*3+0*K7,"-"),"-")</f>
        <v>2.4000000000000004</v>
      </c>
      <c r="G24" s="56">
        <f>IF(E9&gt;=5,IF(K9*4+0*K7&lt;=E4,K9*4+0*K7,"-"),"-")</f>
        <v>3.2</v>
      </c>
      <c r="H24" s="56">
        <f>IF(E9&gt;=6,IF(K9*5+0*K7&lt;=E4,K9*5+0*K7,"-"),"-")</f>
        <v>4</v>
      </c>
      <c r="I24" s="56">
        <f>IF(E9&gt;=7,IF(K9*6+0*K7&lt;=E4,K9*6+0*K7,"-"),"-")</f>
        <v>4.8000000000000007</v>
      </c>
      <c r="J24" s="56">
        <f>IF(E9&gt;=8,IF(K9*7+0*K7&lt;=E4,K9*7+0*K7,"-"),"-")</f>
        <v>5.6000000000000005</v>
      </c>
      <c r="K24" s="56">
        <f>IF(E9&gt;=9,IF(K9*8+0*K7&lt;=E4,K9*8+0*K7,"-"),"-")</f>
        <v>6.4</v>
      </c>
      <c r="L24" s="57">
        <f>IF(E9=10,IF(K9*9+0*K7&lt;=E4,K9*9+0*K7,"-"),"-")</f>
        <v>7.2</v>
      </c>
    </row>
    <row r="25" spans="2:20" x14ac:dyDescent="0.25">
      <c r="B25" s="54" t="s">
        <v>40</v>
      </c>
      <c r="C25" s="55">
        <f>IF(E9&gt;=1,IF(K9*0+1*K7&lt;=E4,K9*0+1*K7,"-"),"-")</f>
        <v>8</v>
      </c>
      <c r="D25" s="56">
        <f>IF(E9&gt;=2,IF(K9*1+1*K7&lt;=E4,K9*1+1*K7,"-"),"-")</f>
        <v>8.8000000000000007</v>
      </c>
      <c r="E25" s="56">
        <f>IF(E9&gt;=3,IF(K9*2+1*K7&lt;=E4,K9*2+1*K7,"-"),"-")</f>
        <v>9.6</v>
      </c>
      <c r="F25" s="56">
        <f>IF(E9&gt;=4,IF(K9*3+1*K7&lt;=E4,K9*3+1*K7,"-"),"-")</f>
        <v>10.4</v>
      </c>
      <c r="G25" s="56">
        <f>IF(E9&gt;=5,IF(K9*4+1*K7&lt;=E4,K9*4+1*K7,"-"),"-")</f>
        <v>11.2</v>
      </c>
      <c r="H25" s="56">
        <f>IF(E9&gt;=6,IF(K9*5+1*K7&lt;=E4,K9*5+1*K7,"-"),"-")</f>
        <v>12</v>
      </c>
      <c r="I25" s="56">
        <f>IF(E9&gt;=7,IF(K9*6+1*K7&lt;=E4,K9*6+1*K7,"-"),"-")</f>
        <v>12.8</v>
      </c>
      <c r="J25" s="56">
        <f>IF(E9&gt;=8,IF(K9*7+1*K7&lt;=E4,K9*7+1*K7,"-"),"-")</f>
        <v>13.600000000000001</v>
      </c>
      <c r="K25" s="56">
        <f>IF(E9&gt;=9,IF(K9*8+1*K7&lt;=E4,K9*8+1*K7,"-"),"-")</f>
        <v>14.4</v>
      </c>
      <c r="L25" s="57">
        <f>IF(E9=10,IF(K9*9+1*K7&lt;=E4,K9*9+1*K7,"-"),"-")</f>
        <v>15.2</v>
      </c>
    </row>
    <row r="26" spans="2:20" x14ac:dyDescent="0.25">
      <c r="B26" s="54" t="s">
        <v>41</v>
      </c>
      <c r="C26" s="55">
        <f>IF(E9&gt;=1,IF(K9*0+2*K7&lt;=E4,K9*0+2*K7,"-"),"-")</f>
        <v>16</v>
      </c>
      <c r="D26" s="56">
        <f>IF(E9&gt;=2,IF(K9*1+2*K7&lt;=E4,K9*1+2*K7,"-"),"-")</f>
        <v>16.8</v>
      </c>
      <c r="E26" s="56">
        <f>IF(E9&gt;=3,IF(K9*2+2*K7&lt;=E4,K9*2+2*K7,"-"),"-")</f>
        <v>17.600000000000001</v>
      </c>
      <c r="F26" s="56">
        <f>IF(E9&gt;=4,IF(K9*3+2*K7&lt;=E4,K9*3+2*K7,"-"),"-")</f>
        <v>18.399999999999999</v>
      </c>
      <c r="G26" s="56">
        <f>IF(E9&gt;=5,IF(K9*4+2*K7&lt;=E4,K9*4+2*K7,"-"),"-")</f>
        <v>19.2</v>
      </c>
      <c r="H26" s="56">
        <f>IF(E9&gt;=6,IF(K9*5+2*K7&lt;=E4,K9*5+2*K7,"-"),"-")</f>
        <v>20</v>
      </c>
      <c r="I26" s="56">
        <f>IF(E9&gt;=7,IF(K9*6+2*K7&lt;=E4,K9*6+2*K7,"-"),"-")</f>
        <v>20.8</v>
      </c>
      <c r="J26" s="56">
        <f>IF(E9&gt;=8,IF(K9*7+2*K7&lt;=E4,K9*7+2*K7,"-"),"-")</f>
        <v>21.6</v>
      </c>
      <c r="K26" s="56">
        <f>IF(E9&gt;=9,IF(K9*8+2*K7&lt;=E4,K9*8+2*K7,"-"),"-")</f>
        <v>22.4</v>
      </c>
      <c r="L26" s="57">
        <f>IF(E9=10,IF(K9*9+2*K7&lt;=E4,K9*9+2*K7,"-"),"-")</f>
        <v>23.2</v>
      </c>
    </row>
    <row r="27" spans="2:20" x14ac:dyDescent="0.25">
      <c r="B27" s="54" t="s">
        <v>42</v>
      </c>
      <c r="C27" s="55">
        <f>IF(E9&gt;=1,IF(K9*0+3*K7&lt;=E4,K9*0+3*K7,"-"),"-")</f>
        <v>24</v>
      </c>
      <c r="D27" s="56">
        <f>IF(E9&gt;=2,IF(K9*1+3*K7&lt;=E4,K9*1+3*K7,"-"),"-")</f>
        <v>24.8</v>
      </c>
      <c r="E27" s="56">
        <f>IF(E9&gt;=3,IF(K9*2+3*K7&lt;=E4,K9*2+3*K7,"-"),"-")</f>
        <v>25.6</v>
      </c>
      <c r="F27" s="56">
        <f>IF(E9&gt;=4,IF(K9*3+3*K7&lt;=E4,K9*3+3*K7,"-"),"-")</f>
        <v>26.4</v>
      </c>
      <c r="G27" s="56">
        <f>IF(E9&gt;=5,IF(K9*4+3*K7&lt;=E4,K9*4+3*K7,"-"),"-")</f>
        <v>27.2</v>
      </c>
      <c r="H27" s="56">
        <f>IF(E9&gt;=6,IF(K9*5+3*K7&lt;=E4,K9*5+3*K7,"-"),"-")</f>
        <v>28</v>
      </c>
      <c r="I27" s="56">
        <f>IF(E9&gt;=7,IF(K9*6+3*K7&lt;=E4,K9*6+3*K7,"-"),"-")</f>
        <v>28.8</v>
      </c>
      <c r="J27" s="56">
        <f>IF(E9&gt;=8,IF(K9*7+3*K7&lt;=E4,K9*7+3*K7,"-"),"-")</f>
        <v>29.6</v>
      </c>
      <c r="K27" s="56">
        <f>IF(E9&gt;=9,IF(K9*8+3*K7&lt;=E4,K9*8+3*K7,"-"),"-")</f>
        <v>30.4</v>
      </c>
      <c r="L27" s="57">
        <f>IF(E9=10,IF(K9*9+3*K7&lt;=E4,K9*9+3*K7,"-"),"-")</f>
        <v>31.2</v>
      </c>
    </row>
    <row r="28" spans="2:20" x14ac:dyDescent="0.25">
      <c r="B28" s="54" t="s">
        <v>43</v>
      </c>
      <c r="C28" s="55">
        <f>IF(E9&gt;=1,IF(K9*0+4*K7&lt;=E4,K9*0+4*K7,"-"),"-")</f>
        <v>32</v>
      </c>
      <c r="D28" s="56">
        <f>IF(E9&gt;=2,IF(K9*1+4*K7&lt;=E4,K9*1+4*K7,"-"),"-")</f>
        <v>32.799999999999997</v>
      </c>
      <c r="E28" s="56">
        <f>IF(E9&gt;=3,IF(K9*2+4*K7&lt;=E4,K9*2+4*K7,"-"),"-")</f>
        <v>33.6</v>
      </c>
      <c r="F28" s="56">
        <f>IF(E9&gt;=4,IF(K9*3+4*K7&lt;=E4,K9*3+4*K7,"-"),"-")</f>
        <v>34.4</v>
      </c>
      <c r="G28" s="56">
        <f>IF(E9&gt;=5,IF(K9*4+4*K7&lt;=E4,K9*4+4*K7,"-"),"-")</f>
        <v>35.200000000000003</v>
      </c>
      <c r="H28" s="56">
        <f>IF(E9&gt;=6,IF(K9*5+4*K7&lt;=E4,K9*5+4*K7,"-"),"-")</f>
        <v>36</v>
      </c>
      <c r="I28" s="56">
        <f>IF(E9&gt;=7,IF(K9*6+4*K7&lt;=E4,K9*6+4*K7,"-"),"-")</f>
        <v>36.799999999999997</v>
      </c>
      <c r="J28" s="56">
        <f>IF(E9&gt;=8,IF(K9*7+4*K7&lt;=E4,K9*7+4*K7,"-"),"-")</f>
        <v>37.6</v>
      </c>
      <c r="K28" s="56">
        <f>IF(E9&gt;=9,IF(K9*8+4*K7&lt;=E4,K9*8+4*K7,"-"),"-")</f>
        <v>38.4</v>
      </c>
      <c r="L28" s="57">
        <f>IF(E9=10,IF(K9*9+4*K7&lt;=E4,K9*9+4*K7,"-"),"-")</f>
        <v>39.200000000000003</v>
      </c>
    </row>
    <row r="29" spans="2:20" x14ac:dyDescent="0.25">
      <c r="B29" s="54" t="s">
        <v>44</v>
      </c>
      <c r="C29" s="55">
        <f>IF(E9&gt;=1,IF(K9*0+5*K7&lt;=E4,K9*0+5*K7,"-"),"-")</f>
        <v>40</v>
      </c>
      <c r="D29" s="56" t="str">
        <f>IF(E9&gt;=2,IF(K9*1+5*K7&lt;=E4,K9*1+5*K7,"-"),"-")</f>
        <v>-</v>
      </c>
      <c r="E29" s="56" t="str">
        <f>IF(E9&gt;=3,IF(K9*2+5*K7&lt;=E4,K9*2+5*K7,"-"),"-")</f>
        <v>-</v>
      </c>
      <c r="F29" s="56" t="str">
        <f>IF(E9&gt;=4,IF(K9*3+5*K7&lt;=E4,K9*3+5*K7,"-"),"-")</f>
        <v>-</v>
      </c>
      <c r="G29" s="56" t="str">
        <f>IF(E9&gt;=5,IF(K9*4+5*K7&lt;=E4,K9*4+5*K7,"-"),"-")</f>
        <v>-</v>
      </c>
      <c r="H29" s="56" t="str">
        <f>IF(E9&gt;=6,IF(K9*5+5*K7&lt;=E4,K9*5+5*K7,"-"),"-")</f>
        <v>-</v>
      </c>
      <c r="I29" s="56" t="str">
        <f>IF(E9&gt;=7,IF(K9*6+5*K7&lt;=E4,K9*6+5*K7,"-"),"-")</f>
        <v>-</v>
      </c>
      <c r="J29" s="56" t="str">
        <f>IF(E9&gt;=8,IF(K9*7+5*K7&lt;=E4,K9*7+5*K7,"-"),"-")</f>
        <v>-</v>
      </c>
      <c r="K29" s="56" t="str">
        <f>IF(E9&gt;=9,IF(K9*8+5*K7&lt;=E4,K9*8+5*K7,"-"),"-")</f>
        <v>-</v>
      </c>
      <c r="L29" s="57" t="str">
        <f>IF(E9=10,IF(K9*9+5*K7&lt;=E4,K9*9+5*K7,"-"),"-")</f>
        <v>-</v>
      </c>
    </row>
    <row r="30" spans="2:20" x14ac:dyDescent="0.25">
      <c r="B30" s="54" t="s">
        <v>45</v>
      </c>
      <c r="C30" s="55" t="str">
        <f>IF(E9&gt;=1,IF(K9*0+6*K7&lt;=E4,K9*0+6*K7,"-"),"-")</f>
        <v>-</v>
      </c>
      <c r="D30" s="56" t="str">
        <f>IF(E9&gt;=2,IF(K9*1+6*K7&lt;=E4,K9*1+6*K7,"-"),"-")</f>
        <v>-</v>
      </c>
      <c r="E30" s="56" t="str">
        <f>IF(E9&gt;=3,IF(K9*2+6*K7&lt;=E4,K9*2+6*K7,"-"),"-")</f>
        <v>-</v>
      </c>
      <c r="F30" s="56" t="str">
        <f>IF(E9&gt;=4,IF(K9*3+6*K7&lt;=E4,K9*3+6*K7,"-"),"-")</f>
        <v>-</v>
      </c>
      <c r="G30" s="56" t="str">
        <f>IF(E9&gt;=5,IF(K9*4+6*K7&lt;=E4,K9*4+6*K7,"-"),"-")</f>
        <v>-</v>
      </c>
      <c r="H30" s="56" t="str">
        <f>IF(E9&gt;=6,IF(K9*5+6*K7&lt;=E4,K9*5+6*K7,"-"),"-")</f>
        <v>-</v>
      </c>
      <c r="I30" s="56" t="str">
        <f>IF(E9&gt;=7,IF(K9*6+6*K7&lt;=E4,K9*6+6*K7,"-"),"-")</f>
        <v>-</v>
      </c>
      <c r="J30" s="56" t="str">
        <f>IF(E9&gt;=8,IF(K9*7+6*K7&lt;=E4,K9*7+6*K7,"-"),"-")</f>
        <v>-</v>
      </c>
      <c r="K30" s="56" t="str">
        <f>IF(E9&gt;=9,IF(K9*8+6*K7&lt;=E4,K9*8+6*K7,"-"),"-")</f>
        <v>-</v>
      </c>
      <c r="L30" s="57" t="str">
        <f>IF(E9=10,IF(K9*9+6*K7&lt;=E4,K9*9+6*K7,"-"),"-")</f>
        <v>-</v>
      </c>
    </row>
    <row r="31" spans="2:20" ht="15.75" thickBot="1" x14ac:dyDescent="0.3">
      <c r="B31" s="58" t="s">
        <v>46</v>
      </c>
      <c r="C31" s="59" t="str">
        <f>IF(E9&gt;=1,IF(K9*0+7*K7&lt;=E4,K9*0+7*K7,"-"),"-")</f>
        <v>-</v>
      </c>
      <c r="D31" s="60" t="str">
        <f>IF(E9&gt;=2,IF(K9*1+7*K7&lt;=E4,K9*1+7*K7,"-"),"-")</f>
        <v>-</v>
      </c>
      <c r="E31" s="60" t="str">
        <f>IF(E9&gt;=3,IF(K9*2+7*K7&lt;=E4,K9*2+7*K7,"-"),"-")</f>
        <v>-</v>
      </c>
      <c r="F31" s="60" t="str">
        <f>IF(E9&gt;=4,IF(K9*3+7*K7&lt;=E4,K9*3+7*K7,"-"),"-")</f>
        <v>-</v>
      </c>
      <c r="G31" s="60" t="str">
        <f>IF(E9&gt;=5,IF(K9*4+7*K7&lt;=E4,K9*4+7*K7,"-"),"-")</f>
        <v>-</v>
      </c>
      <c r="H31" s="60" t="str">
        <f>IF(E9&gt;=6,IF(K9*5+7*K7&lt;=E4,K9*5+7*K7,"-"),"-")</f>
        <v>-</v>
      </c>
      <c r="I31" s="60" t="str">
        <f>IF(E9&gt;=7,IF(K9*6+7*K7&lt;=E4,K9*6+7*K7,"-"),"-")</f>
        <v>-</v>
      </c>
      <c r="J31" s="60" t="str">
        <f>IF(E9&gt;=8,IF(K9*7+7*K7&lt;=E4,K9*7+7*K7,"-"),"-")</f>
        <v>-</v>
      </c>
      <c r="K31" s="60" t="str">
        <f>IF(E9&gt;=9,IF(K9*8+7*K7&lt;=E4,K9*8+7*K7,"-"),"-")</f>
        <v>-</v>
      </c>
      <c r="L31" s="61" t="str">
        <f>IF(E9=10,IF(K9*9+7*K7&lt;=E4,K9*9+7*K7,"-"),"-")</f>
        <v>-</v>
      </c>
    </row>
  </sheetData>
  <mergeCells count="20">
    <mergeCell ref="B5:D5"/>
    <mergeCell ref="K21:L21"/>
    <mergeCell ref="K2:L2"/>
    <mergeCell ref="B2:J2"/>
    <mergeCell ref="S15:T15"/>
    <mergeCell ref="B3:F3"/>
    <mergeCell ref="G3:L3"/>
    <mergeCell ref="B4:D4"/>
    <mergeCell ref="F15:L18"/>
    <mergeCell ref="B21:J21"/>
    <mergeCell ref="S20:T20"/>
    <mergeCell ref="B22:B23"/>
    <mergeCell ref="B6:D6"/>
    <mergeCell ref="B7:D7"/>
    <mergeCell ref="B8:D8"/>
    <mergeCell ref="B9:D9"/>
    <mergeCell ref="F11:L11"/>
    <mergeCell ref="F12:I14"/>
    <mergeCell ref="J12:J14"/>
    <mergeCell ref="K12:L14"/>
  </mergeCells>
  <dataValidations count="5">
    <dataValidation type="custom" allowBlank="1" showInputMessage="1" showErrorMessage="1" errorTitle="Eingabe nicht möglich" error="Diese Zelle enthält Formeln zur Berechnung des Wendels,_x000a_ein Überschreiben ist nicht gestattet!_x000a_" sqref="K4" xr:uid="{625B52CD-AFE0-4267-93B8-94FA0DC767AA}">
      <formula1>"|"</formula1>
    </dataValidation>
    <dataValidation type="custom" allowBlank="1" showInputMessage="1" showErrorMessage="1" errorTitle="Eingabe verweigert" error="Diese Zelle enthält Formeln zur Berechnung des Wendels,_x000a_ein Überschreiben ist NICHT gestattet!" sqref="C24:L31" xr:uid="{6B458477-AC57-4E87-8150-394BFA461863}">
      <formula1>"Diese Formeln nicht löschen"</formula1>
    </dataValidation>
    <dataValidation type="custom" allowBlank="1" showInputMessage="1" showErrorMessage="1" errorTitle="Eingabe Verweigert" error="Diese Zelle enthält Formeln zur Berechnung des Wendels,_x000a_ein Überschreiben ist NICHT gestattet!" sqref="K5" xr:uid="{B9D3180E-187B-40E0-BC7F-F9EC7BFC2649}">
      <formula1>"|"</formula1>
    </dataValidation>
    <dataValidation type="custom" allowBlank="1" showInputMessage="1" showErrorMessage="1" errorTitle="Eingabe nicht möglich" error="Diese Zelle enthält Formeln zur Berechnung des Wendels,_x000a_ein Überschreiben ist nicht gestattet!_x000a__x000a_" sqref="K6:K9" xr:uid="{0DAFB892-C3BC-472E-AC5A-55231942D6B7}">
      <formula1>"|"</formula1>
    </dataValidation>
    <dataValidation type="list" allowBlank="1" showInputMessage="1" showErrorMessage="1" errorTitle="Unzulässige Auswahl" error="Die Anzahl der Fixpunkte darf höchstens 10 betragen._x000a_Der von Ihnen eingegebene Wert muss zwischen 1 und 10 liegen_x000a_und in ganzen Zahlen eingegeben oder ausgewählt werden!" sqref="E9" xr:uid="{1F2244A3-0FBE-4EE5-9C17-DBD75BEE8CC2}">
      <formula1>$C$23:$L$23</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Marijs</dc:creator>
  <cp:lastModifiedBy>R Marijs</cp:lastModifiedBy>
  <dcterms:created xsi:type="dcterms:W3CDTF">2021-08-21T15:00:10Z</dcterms:created>
  <dcterms:modified xsi:type="dcterms:W3CDTF">2021-08-22T21:22:09Z</dcterms:modified>
</cp:coreProperties>
</file>